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d\Documents\rfinsights\"/>
    </mc:Choice>
  </mc:AlternateContent>
  <xr:revisionPtr revIDLastSave="0" documentId="13_ncr:1_{73A41201-CDFC-41A8-A7C9-3B5B4A829C66}" xr6:coauthVersionLast="47" xr6:coauthVersionMax="47" xr10:uidLastSave="{00000000-0000-0000-0000-000000000000}"/>
  <bookViews>
    <workbookView xWindow="-195" yWindow="-195" windowWidth="29190" windowHeight="16140" xr2:uid="{3923B186-66E0-4655-B7D4-1C3D7DD0C543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1" l="1"/>
  <c r="P8" i="1"/>
  <c r="J43" i="1"/>
  <c r="J8" i="1"/>
  <c r="P16" i="1"/>
  <c r="P9" i="1"/>
  <c r="J12" i="1"/>
  <c r="J9" i="1"/>
  <c r="J23" i="1" s="1"/>
  <c r="E24" i="1"/>
  <c r="E23" i="1"/>
  <c r="E22" i="1"/>
  <c r="E21" i="1"/>
  <c r="E20" i="1"/>
  <c r="J27" i="1" l="1"/>
  <c r="P10" i="1"/>
  <c r="P11" i="1" s="1"/>
  <c r="P12" i="1" l="1"/>
  <c r="P13" i="1" s="1"/>
  <c r="P14" i="1" s="1"/>
  <c r="P19" i="1" s="1"/>
  <c r="P23" i="1" s="1"/>
  <c r="P15" i="1" l="1"/>
  <c r="P17" i="1" s="1"/>
  <c r="P20" i="1" l="1"/>
  <c r="P24" i="1" s="1"/>
  <c r="P25" i="1" s="1"/>
  <c r="P26" i="1" s="1"/>
  <c r="P28" i="1" s="1"/>
  <c r="P27" i="1" l="1"/>
  <c r="P29" i="1" s="1"/>
  <c r="P30" i="1" s="1"/>
  <c r="P31" i="1" l="1"/>
  <c r="P33" i="1" s="1"/>
  <c r="P34" i="1" l="1"/>
  <c r="P35" i="1" s="1"/>
  <c r="P36" i="1" l="1"/>
  <c r="P37" i="1" s="1"/>
  <c r="P38" i="1" l="1"/>
  <c r="P39" i="1" s="1"/>
  <c r="P50" i="1" s="1"/>
  <c r="E31" i="1" s="1"/>
  <c r="P40" i="1" l="1"/>
  <c r="P51" i="1" s="1"/>
  <c r="E32" i="1" s="1"/>
  <c r="J10" i="1"/>
  <c r="J11" i="1"/>
  <c r="J13" i="1"/>
  <c r="J14" i="1"/>
  <c r="J15" i="1"/>
  <c r="J16" i="1"/>
  <c r="K16" i="1"/>
  <c r="J17" i="1"/>
  <c r="J18" i="1"/>
  <c r="J19" i="1"/>
  <c r="J20" i="1"/>
  <c r="J21" i="1"/>
  <c r="K21" i="1"/>
  <c r="J22" i="1"/>
  <c r="J24" i="1"/>
  <c r="J25" i="1"/>
  <c r="J26" i="1"/>
  <c r="J28" i="1"/>
  <c r="E29" i="1"/>
  <c r="J29" i="1"/>
  <c r="E30" i="1"/>
  <c r="J30" i="1"/>
  <c r="J31" i="1"/>
  <c r="J32" i="1"/>
  <c r="E33" i="1"/>
  <c r="E34" i="1"/>
  <c r="J34" i="1"/>
  <c r="E35" i="1"/>
  <c r="J35" i="1"/>
  <c r="J36" i="1"/>
  <c r="J37" i="1"/>
  <c r="J38" i="1"/>
  <c r="J39" i="1"/>
  <c r="K39" i="1"/>
  <c r="J40" i="1"/>
  <c r="J41" i="1"/>
  <c r="J42" i="1"/>
  <c r="J44" i="1"/>
  <c r="J45" i="1"/>
  <c r="J46" i="1"/>
  <c r="J47" i="1"/>
  <c r="J48" i="1"/>
  <c r="J49" i="1"/>
  <c r="J50" i="1"/>
  <c r="J51" i="1"/>
  <c r="K52" i="1"/>
  <c r="I55" i="1"/>
  <c r="I57" i="1"/>
  <c r="I58" i="1"/>
</calcChain>
</file>

<file path=xl/sharedStrings.xml><?xml version="1.0" encoding="utf-8"?>
<sst xmlns="http://schemas.openxmlformats.org/spreadsheetml/2006/main" count="185" uniqueCount="162">
  <si>
    <t>Lp</t>
  </si>
  <si>
    <t>Ls</t>
  </si>
  <si>
    <t>Qp</t>
  </si>
  <si>
    <t>Qs</t>
  </si>
  <si>
    <t>k</t>
  </si>
  <si>
    <t>Ro</t>
  </si>
  <si>
    <t>Co</t>
  </si>
  <si>
    <t>Cp</t>
  </si>
  <si>
    <t>Cs</t>
  </si>
  <si>
    <t>CT</t>
  </si>
  <si>
    <t>RL</t>
  </si>
  <si>
    <t>nH</t>
  </si>
  <si>
    <t>fF</t>
  </si>
  <si>
    <t>ohm</t>
  </si>
  <si>
    <t>Ohm</t>
  </si>
  <si>
    <t>nsq</t>
  </si>
  <si>
    <t>frf</t>
  </si>
  <si>
    <t>MHz</t>
  </si>
  <si>
    <t>Rp</t>
  </si>
  <si>
    <t>Rs</t>
  </si>
  <si>
    <t>Lk</t>
  </si>
  <si>
    <t>Ctune</t>
  </si>
  <si>
    <t>pF</t>
  </si>
  <si>
    <t>Balun</t>
  </si>
  <si>
    <t xml:space="preserve">TX </t>
  </si>
  <si>
    <t>RM</t>
  </si>
  <si>
    <t>Calculations</t>
  </si>
  <si>
    <t>RF Frequency</t>
  </si>
  <si>
    <t>Coupling Coeff</t>
  </si>
  <si>
    <t>Primary Ind</t>
  </si>
  <si>
    <t>Secondary Ind</t>
  </si>
  <si>
    <t>Primary Q</t>
  </si>
  <si>
    <t>Secondary Q</t>
  </si>
  <si>
    <t>Primary Cap</t>
  </si>
  <si>
    <t>Secondary Cap</t>
  </si>
  <si>
    <t>Output Resistnace</t>
  </si>
  <si>
    <t>Output Cap</t>
  </si>
  <si>
    <t>Tunning</t>
  </si>
  <si>
    <t>Cap at Primary</t>
  </si>
  <si>
    <t>Resistor at Primary</t>
  </si>
  <si>
    <t>Turn ratio square</t>
  </si>
  <si>
    <t>Balun primary resistance</t>
  </si>
  <si>
    <t>Balun secondary resistance</t>
  </si>
  <si>
    <t>Leakage Ind</t>
  </si>
  <si>
    <t>C needed to tune out Lp with Inf Q</t>
  </si>
  <si>
    <t>LoadLine Optimization</t>
  </si>
  <si>
    <t>Ra=Ro||RM</t>
  </si>
  <si>
    <t>-ive sign means already tuned out, reduce CT</t>
  </si>
  <si>
    <t>Loadline</t>
  </si>
  <si>
    <t>RLL</t>
  </si>
  <si>
    <t>VSWR</t>
  </si>
  <si>
    <t>Want</t>
  </si>
  <si>
    <t>Xd</t>
  </si>
  <si>
    <t>Rf</t>
  </si>
  <si>
    <t>Xf</t>
  </si>
  <si>
    <t>XLp</t>
  </si>
  <si>
    <t>Rx</t>
  </si>
  <si>
    <t>Xx</t>
  </si>
  <si>
    <t>Xb=Xx || XLp</t>
  </si>
  <si>
    <t>Q(Rb,Xb)</t>
  </si>
  <si>
    <t>Xc = Xb_ser</t>
  </si>
  <si>
    <t>Q(Rc,Xc)</t>
  </si>
  <si>
    <t>Rd</t>
  </si>
  <si>
    <t>Xe = Xd || Xa</t>
  </si>
  <si>
    <t>Xa=X of Co+CT+Cp</t>
  </si>
  <si>
    <t>Re = Ra || Rd</t>
  </si>
  <si>
    <t>RLL_sh_Achieved</t>
  </si>
  <si>
    <t>XLL_sh_Achieved; added 1u factor to avoid div/0 error</t>
  </si>
  <si>
    <t>Back Rd</t>
  </si>
  <si>
    <t>Back Rc</t>
  </si>
  <si>
    <t>Back Rb</t>
  </si>
  <si>
    <t>Back Xc</t>
  </si>
  <si>
    <t>Back Xb</t>
  </si>
  <si>
    <t>Back Xx</t>
  </si>
  <si>
    <t>Back Xd</t>
  </si>
  <si>
    <t>Back Rx</t>
  </si>
  <si>
    <t>R needed at primary to get RLL</t>
  </si>
  <si>
    <t>X needed at primary to get RLL</t>
  </si>
  <si>
    <t>watch out for -ive sign</t>
  </si>
  <si>
    <t>Iterations</t>
  </si>
  <si>
    <t>nsq*Rx</t>
  </si>
  <si>
    <t>nsq*Xx</t>
  </si>
  <si>
    <t>R needed at secondary to get RLL</t>
  </si>
  <si>
    <t>X needed at secondary to get RLL</t>
  </si>
  <si>
    <t>Secondary Side Calculations</t>
  </si>
  <si>
    <t>Primary Side Calculations</t>
  </si>
  <si>
    <t>Q(nsq*Rx,nsq*Xx)</t>
  </si>
  <si>
    <t>Rg=Rf-Rs</t>
  </si>
  <si>
    <t>Q(Rg,Xg)</t>
  </si>
  <si>
    <t>Rh</t>
  </si>
  <si>
    <t>Xh</t>
  </si>
  <si>
    <t>Xs</t>
  </si>
  <si>
    <t>Xi = Xs antiparallel Xh</t>
  </si>
  <si>
    <t>Q(Xi,Ri)</t>
  </si>
  <si>
    <t>Rj</t>
  </si>
  <si>
    <t>Xj</t>
  </si>
  <si>
    <t>Q(Rn,Xn)</t>
  </si>
  <si>
    <t>XL</t>
  </si>
  <si>
    <t>RL needed after Lk to achieve RLL looking from TX</t>
  </si>
  <si>
    <t>XL needed after Lk to achieve RLL looking from TX</t>
  </si>
  <si>
    <t>Losses</t>
  </si>
  <si>
    <t xml:space="preserve">Loss from finite Qp </t>
  </si>
  <si>
    <t>Rc = Rx_ser+Rp</t>
  </si>
  <si>
    <t>Rx_ser</t>
  </si>
  <si>
    <t>Loss from RM</t>
  </si>
  <si>
    <t>Loss from finite Qs</t>
  </si>
  <si>
    <t>dB</t>
  </si>
  <si>
    <t>Ohms</t>
  </si>
  <si>
    <t>Total Loss in System   [dB]</t>
  </si>
  <si>
    <t>Series RLL Achieved</t>
  </si>
  <si>
    <t>TX Output Current</t>
  </si>
  <si>
    <t>mA rms</t>
  </si>
  <si>
    <t>PGEN</t>
  </si>
  <si>
    <t>dBm</t>
  </si>
  <si>
    <t>PDEL</t>
  </si>
  <si>
    <t>Matching Loss</t>
  </si>
  <si>
    <t>RL Optimum for RLL</t>
  </si>
  <si>
    <t>CL Optimum for RLL</t>
  </si>
  <si>
    <t>RL Optimum for VSWR</t>
  </si>
  <si>
    <t>CL Optimum for VSWR</t>
  </si>
  <si>
    <t>Difference in CL</t>
  </si>
  <si>
    <t>%</t>
  </si>
  <si>
    <t>VSWR if CL were same</t>
  </si>
  <si>
    <t>Final Results</t>
  </si>
  <si>
    <t>VSWR Optimization</t>
  </si>
  <si>
    <t>Q(Ra,Xa)</t>
  </si>
  <si>
    <t>Rq=Ra_ser+Rp</t>
  </si>
  <si>
    <t>Q(Rq,Xq)</t>
  </si>
  <si>
    <t>Xq=Xa_ser</t>
  </si>
  <si>
    <t>Rr=Rq_sh</t>
  </si>
  <si>
    <t>Xr=Xq_sh</t>
  </si>
  <si>
    <t>Xt = Xr|| XLp</t>
  </si>
  <si>
    <t>Xt</t>
  </si>
  <si>
    <t>Rt</t>
  </si>
  <si>
    <t>Equivalent R at Primary Looking from Secondary</t>
  </si>
  <si>
    <t>Equivalent X at Primary Looking from Secondary</t>
  </si>
  <si>
    <t>Primary R transformed to Secondary</t>
  </si>
  <si>
    <t>Primary X transformed to Secondary</t>
  </si>
  <si>
    <t>Ru</t>
  </si>
  <si>
    <t>Xu</t>
  </si>
  <si>
    <t>Q(Ru,Xu)</t>
  </si>
  <si>
    <t>Rv=Ru_ser</t>
  </si>
  <si>
    <t>Xv=Xu_ser</t>
  </si>
  <si>
    <t>Q(Rw,Xw)</t>
  </si>
  <si>
    <t>Ry=Rw_sh</t>
  </si>
  <si>
    <t>Xy=Xw_sh</t>
  </si>
  <si>
    <t>Rw=Rv+Rs</t>
  </si>
  <si>
    <t>Xz= Xy || Xs</t>
  </si>
  <si>
    <t>Q(Rz,Xz)</t>
  </si>
  <si>
    <t>Raa=Rz_ser</t>
  </si>
  <si>
    <t>Xaa=Xz_ser</t>
  </si>
  <si>
    <t>Xbb=Xaa+X of Lk</t>
  </si>
  <si>
    <t>Q(Rbb,Xbb)</t>
  </si>
  <si>
    <t>Rcc=Rbb_sh</t>
  </si>
  <si>
    <t>Xcc=Xbb_sh</t>
  </si>
  <si>
    <t>XL needed after Lk to see VSWR looking from Port</t>
  </si>
  <si>
    <t>RL needed after Lk to achieve VSWR looking from Port</t>
  </si>
  <si>
    <t>INPUTs</t>
  </si>
  <si>
    <t>OUTPUTs</t>
  </si>
  <si>
    <t>Enable Iterative Calculations in Excel (File&gt;Options&gt;Formulas&gt;Check Iterative Calculations). J10 Follows J25, J11 follows J30.</t>
  </si>
  <si>
    <t>Xn = Xj - X of Lk</t>
  </si>
  <si>
    <t>if Xx is +ive -&gt; little too much Ctune but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</si>
</sst>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Mathcad UniMath"/>
      <family val="3"/>
    </font>
    <font>
      <sz val="11"/>
      <color theme="1"/>
      <name val="Philosopher"/>
    </font>
    <font>
      <sz val="11"/>
      <color rgb="FF3F3F76"/>
      <name val="Mathcad UniMath"/>
      <family val="3"/>
    </font>
    <font>
      <b/>
      <sz val="11"/>
      <color rgb="FF3F3F3F"/>
      <name val="Mathcad UniMath"/>
      <family val="3"/>
    </font>
    <font>
      <i/>
      <sz val="11"/>
      <color rgb="FF7F7F7F"/>
      <name val="Philosopher"/>
    </font>
    <font>
      <sz val="11"/>
      <color rgb="FF006100"/>
      <name val="Mathcad UniMath"/>
      <family val="3"/>
    </font>
    <font>
      <sz val="18"/>
      <color theme="4"/>
      <name val="Mathcad UniMath"/>
      <family val="3"/>
    </font>
    <font>
      <sz val="11"/>
      <color rgb="FF9C0006"/>
      <name val="Mathcad UniMath"/>
      <family val="3"/>
    </font>
    <font>
      <sz val="11"/>
      <color rgb="FFFF0000"/>
      <name val="Mathcad UniMath"/>
      <family val="3"/>
    </font>
    <font>
      <sz val="11"/>
      <color rgb="FF00B0F0"/>
      <name val="Mathcad UniMath"/>
      <family val="3"/>
    </font>
    <font>
      <b/>
      <sz val="11"/>
      <color rgb="FF3F3F3F"/>
      <name val="Philosopher"/>
    </font>
    <font>
      <sz val="11"/>
      <color rgb="FF006100"/>
      <name val="Philosopher"/>
    </font>
    <font>
      <sz val="11"/>
      <color rgb="FF9C0006"/>
      <name val="Philosopher"/>
    </font>
    <font>
      <sz val="11"/>
      <color rgb="FFFA7D00"/>
      <name val="Mathcad UniMath"/>
      <family val="3"/>
    </font>
    <font>
      <i/>
      <sz val="14"/>
      <name val="Philosopher"/>
    </font>
    <font>
      <i/>
      <sz val="10"/>
      <color rgb="FF7F7F7F"/>
      <name val="Philosopher"/>
    </font>
    <font>
      <b/>
      <sz val="11"/>
      <name val="Mathcad UniMath"/>
      <family val="3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5" fillId="5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1" fillId="6" borderId="4" applyNumberFormat="0" applyFont="0" applyAlignment="0" applyProtection="0"/>
    <xf numFmtId="0" fontId="8" fillId="0" borderId="0" applyNumberFormat="0" applyFill="0" applyBorder="0" applyAlignment="0" applyProtection="0"/>
  </cellStyleXfs>
  <cellXfs count="72">
    <xf numFmtId="0" fontId="0" fillId="0" borderId="0" xfId="0"/>
    <xf numFmtId="0" fontId="9" fillId="0" borderId="0" xfId="0" applyFont="1"/>
    <xf numFmtId="0" fontId="10" fillId="0" borderId="0" xfId="0" applyFont="1"/>
    <xf numFmtId="0" fontId="11" fillId="4" borderId="1" xfId="3" applyFont="1"/>
    <xf numFmtId="0" fontId="12" fillId="5" borderId="2" xfId="4" applyFont="1"/>
    <xf numFmtId="0" fontId="9" fillId="0" borderId="0" xfId="0" applyFont="1" applyAlignment="1">
      <alignment horizontal="center"/>
    </xf>
    <xf numFmtId="0" fontId="13" fillId="0" borderId="0" xfId="8" applyFont="1"/>
    <xf numFmtId="0" fontId="11" fillId="4" borderId="5" xfId="3" applyFont="1" applyBorder="1"/>
    <xf numFmtId="0" fontId="13" fillId="0" borderId="6" xfId="8" applyFont="1" applyBorder="1"/>
    <xf numFmtId="0" fontId="10" fillId="7" borderId="0" xfId="0" applyFont="1" applyFill="1"/>
    <xf numFmtId="0" fontId="13" fillId="7" borderId="0" xfId="8" applyFont="1" applyFill="1"/>
    <xf numFmtId="0" fontId="9" fillId="7" borderId="0" xfId="0" applyFont="1" applyFill="1"/>
    <xf numFmtId="0" fontId="10" fillId="7" borderId="0" xfId="0" applyFont="1" applyFill="1" applyAlignment="1">
      <alignment textRotation="90"/>
    </xf>
    <xf numFmtId="0" fontId="9" fillId="7" borderId="0" xfId="0" applyFont="1" applyFill="1" applyAlignment="1">
      <alignment horizontal="center"/>
    </xf>
    <xf numFmtId="0" fontId="11" fillId="4" borderId="1" xfId="3" applyFont="1" applyAlignment="1">
      <alignment horizontal="center"/>
    </xf>
    <xf numFmtId="0" fontId="13" fillId="0" borderId="0" xfId="8" applyFont="1" applyFill="1"/>
    <xf numFmtId="165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0" fontId="17" fillId="0" borderId="0" xfId="0" applyFont="1"/>
    <xf numFmtId="165" fontId="12" fillId="5" borderId="2" xfId="4" applyNumberFormat="1" applyFont="1" applyAlignment="1">
      <alignment horizontal="center"/>
    </xf>
    <xf numFmtId="0" fontId="22" fillId="0" borderId="3" xfId="5" applyFont="1"/>
    <xf numFmtId="165" fontId="22" fillId="0" borderId="3" xfId="5" applyNumberFormat="1" applyFont="1" applyAlignment="1">
      <alignment horizontal="center" vertical="center"/>
    </xf>
    <xf numFmtId="0" fontId="13" fillId="0" borderId="6" xfId="8" applyFont="1" applyBorder="1" applyAlignment="1">
      <alignment horizontal="center" vertical="center" textRotation="90"/>
    </xf>
    <xf numFmtId="0" fontId="13" fillId="0" borderId="6" xfId="8" applyFont="1" applyBorder="1" applyAlignment="1">
      <alignment horizontal="center" vertical="center" textRotation="90" wrapText="1"/>
    </xf>
    <xf numFmtId="0" fontId="4" fillId="4" borderId="1" xfId="3" applyAlignment="1">
      <alignment horizontal="left"/>
    </xf>
    <xf numFmtId="0" fontId="5" fillId="5" borderId="2" xfId="4" applyAlignment="1">
      <alignment horizontal="left"/>
    </xf>
    <xf numFmtId="0" fontId="12" fillId="5" borderId="7" xfId="4" applyFont="1" applyBorder="1"/>
    <xf numFmtId="165" fontId="12" fillId="5" borderId="7" xfId="4" applyNumberFormat="1" applyFont="1" applyBorder="1" applyAlignment="1">
      <alignment horizontal="center"/>
    </xf>
    <xf numFmtId="0" fontId="9" fillId="9" borderId="0" xfId="0" applyFont="1" applyFill="1" applyAlignment="1">
      <alignment horizontal="left"/>
    </xf>
    <xf numFmtId="0" fontId="9" fillId="9" borderId="0" xfId="0" applyFont="1" applyFill="1"/>
    <xf numFmtId="0" fontId="13" fillId="9" borderId="0" xfId="8" applyFont="1" applyFill="1"/>
    <xf numFmtId="165" fontId="9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5" fontId="9" fillId="7" borderId="0" xfId="0" applyNumberFormat="1" applyFont="1" applyFill="1" applyAlignment="1">
      <alignment horizontal="center"/>
    </xf>
    <xf numFmtId="0" fontId="15" fillId="8" borderId="6" xfId="0" applyFont="1" applyFill="1" applyBorder="1" applyAlignment="1">
      <alignment horizontal="center" vertical="center"/>
    </xf>
    <xf numFmtId="0" fontId="13" fillId="0" borderId="6" xfId="8" applyFont="1" applyFill="1" applyBorder="1" applyAlignment="1">
      <alignment horizontal="center"/>
    </xf>
    <xf numFmtId="0" fontId="10" fillId="0" borderId="6" xfId="0" applyFont="1" applyBorder="1"/>
    <xf numFmtId="0" fontId="9" fillId="0" borderId="6" xfId="0" applyFont="1" applyBorder="1"/>
    <xf numFmtId="165" fontId="9" fillId="0" borderId="6" xfId="0" applyNumberFormat="1" applyFont="1" applyBorder="1" applyAlignment="1">
      <alignment horizontal="center" vertical="center"/>
    </xf>
    <xf numFmtId="0" fontId="18" fillId="0" borderId="6" xfId="6" applyFont="1" applyBorder="1"/>
    <xf numFmtId="165" fontId="18" fillId="0" borderId="6" xfId="6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/>
    </xf>
    <xf numFmtId="0" fontId="20" fillId="2" borderId="6" xfId="1" applyFont="1" applyBorder="1"/>
    <xf numFmtId="0" fontId="14" fillId="2" borderId="6" xfId="1" applyFont="1" applyBorder="1"/>
    <xf numFmtId="165" fontId="14" fillId="2" borderId="6" xfId="1" applyNumberFormat="1" applyFont="1" applyBorder="1" applyAlignment="1">
      <alignment horizontal="center" vertical="center"/>
    </xf>
    <xf numFmtId="0" fontId="23" fillId="10" borderId="6" xfId="8" applyFont="1" applyFill="1" applyBorder="1" applyAlignment="1">
      <alignment horizontal="center"/>
    </xf>
    <xf numFmtId="0" fontId="13" fillId="0" borderId="6" xfId="8" applyFont="1" applyFill="1" applyBorder="1"/>
    <xf numFmtId="0" fontId="11" fillId="4" borderId="9" xfId="3" applyFont="1" applyBorder="1" applyAlignment="1">
      <alignment horizontal="center"/>
    </xf>
    <xf numFmtId="0" fontId="11" fillId="4" borderId="9" xfId="3" applyFont="1" applyBorder="1"/>
    <xf numFmtId="0" fontId="13" fillId="0" borderId="10" xfId="8" applyFont="1" applyBorder="1" applyAlignment="1">
      <alignment horizontal="center" vertical="center" textRotation="90"/>
    </xf>
    <xf numFmtId="0" fontId="13" fillId="0" borderId="8" xfId="8" applyFont="1" applyBorder="1" applyAlignment="1">
      <alignment horizontal="center" vertical="center" textRotation="90"/>
    </xf>
    <xf numFmtId="0" fontId="13" fillId="0" borderId="11" xfId="8" applyFont="1" applyBorder="1" applyAlignment="1">
      <alignment horizontal="center" vertical="center" textRotation="90"/>
    </xf>
    <xf numFmtId="0" fontId="24" fillId="0" borderId="8" xfId="8" applyFont="1" applyBorder="1" applyAlignment="1">
      <alignment horizontal="center" vertical="center" textRotation="90"/>
    </xf>
    <xf numFmtId="0" fontId="24" fillId="0" borderId="10" xfId="8" applyFont="1" applyBorder="1" applyAlignment="1">
      <alignment horizontal="center" vertical="center" textRotation="90"/>
    </xf>
    <xf numFmtId="0" fontId="11" fillId="4" borderId="12" xfId="3" applyFont="1" applyBorder="1"/>
    <xf numFmtId="0" fontId="9" fillId="6" borderId="6" xfId="7" applyFont="1" applyBorder="1"/>
    <xf numFmtId="164" fontId="9" fillId="6" borderId="6" xfId="7" applyNumberFormat="1" applyFont="1" applyBorder="1" applyAlignment="1">
      <alignment horizontal="center"/>
    </xf>
    <xf numFmtId="0" fontId="13" fillId="0" borderId="6" xfId="8" applyFont="1" applyBorder="1" applyAlignment="1">
      <alignment horizontal="center"/>
    </xf>
    <xf numFmtId="0" fontId="17" fillId="0" borderId="6" xfId="0" applyFont="1" applyBorder="1"/>
    <xf numFmtId="2" fontId="16" fillId="3" borderId="6" xfId="2" applyNumberFormat="1" applyFont="1" applyBorder="1" applyAlignment="1">
      <alignment horizontal="center"/>
    </xf>
    <xf numFmtId="0" fontId="13" fillId="0" borderId="6" xfId="8" quotePrefix="1" applyFont="1" applyFill="1" applyBorder="1"/>
    <xf numFmtId="0" fontId="13" fillId="6" borderId="6" xfId="7" applyFont="1" applyBorder="1"/>
    <xf numFmtId="165" fontId="9" fillId="6" borderId="6" xfId="7" applyNumberFormat="1" applyFont="1" applyBorder="1" applyAlignment="1">
      <alignment horizontal="center" vertical="center"/>
    </xf>
    <xf numFmtId="0" fontId="13" fillId="0" borderId="6" xfId="8" applyFont="1" applyFill="1" applyBorder="1" applyAlignment="1">
      <alignment horizontal="left" vertical="center"/>
    </xf>
    <xf numFmtId="2" fontId="21" fillId="3" borderId="6" xfId="2" applyNumberFormat="1" applyFont="1" applyBorder="1" applyAlignment="1">
      <alignment horizontal="left"/>
    </xf>
    <xf numFmtId="0" fontId="19" fillId="5" borderId="6" xfId="4" applyFont="1" applyBorder="1"/>
    <xf numFmtId="2" fontId="12" fillId="5" borderId="6" xfId="4" applyNumberFormat="1" applyFont="1" applyBorder="1" applyAlignment="1">
      <alignment horizontal="center"/>
    </xf>
    <xf numFmtId="165" fontId="12" fillId="5" borderId="6" xfId="4" applyNumberFormat="1" applyFont="1" applyBorder="1" applyAlignment="1">
      <alignment horizontal="center" vertical="center"/>
    </xf>
    <xf numFmtId="0" fontId="12" fillId="5" borderId="6" xfId="4" applyFont="1" applyBorder="1" applyAlignment="1">
      <alignment horizontal="center"/>
    </xf>
    <xf numFmtId="0" fontId="25" fillId="5" borderId="2" xfId="4" applyFont="1"/>
    <xf numFmtId="165" fontId="25" fillId="5" borderId="2" xfId="4" applyNumberFormat="1" applyFont="1" applyAlignment="1">
      <alignment horizontal="center"/>
    </xf>
    <xf numFmtId="2" fontId="25" fillId="5" borderId="2" xfId="4" applyNumberFormat="1" applyFont="1" applyAlignment="1">
      <alignment horizontal="center"/>
    </xf>
  </cellXfs>
  <cellStyles count="9">
    <cellStyle name="Bad" xfId="2" builtinId="27"/>
    <cellStyle name="Explanatory Text" xfId="8" builtinId="53"/>
    <cellStyle name="Good" xfId="1" builtinId="26"/>
    <cellStyle name="Input" xfId="3" builtinId="20"/>
    <cellStyle name="Linked Cell" xfId="5" builtinId="24"/>
    <cellStyle name="Normal" xfId="0" builtinId="0"/>
    <cellStyle name="Note" xfId="7" builtinId="10"/>
    <cellStyle name="Output" xfId="4" builtinId="21"/>
    <cellStyle name="Warning Text" xfId="6" builtinId="11"/>
  </cellStyles>
  <dxfs count="0"/>
  <tableStyles count="0" defaultTableStyle="TableStyleMedium2" defaultPivotStyle="PivotStyleLight16"/>
  <colors>
    <mruColors>
      <color rgb="FF40CE7F"/>
      <color rgb="FF1314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0B9FC-9853-4500-89E0-0D7B55C97F34}">
  <dimension ref="A1:Q60"/>
  <sheetViews>
    <sheetView tabSelected="1" topLeftCell="A4" zoomScale="80" zoomScaleNormal="80" workbookViewId="0">
      <selection activeCell="E20" sqref="E20"/>
    </sheetView>
  </sheetViews>
  <sheetFormatPr defaultRowHeight="15.75" x14ac:dyDescent="0.3"/>
  <cols>
    <col min="1" max="1" width="3.85546875" style="1" customWidth="1"/>
    <col min="2" max="2" width="4.85546875" style="2" customWidth="1"/>
    <col min="3" max="3" width="38.7109375" style="6" customWidth="1"/>
    <col min="4" max="4" width="7.140625" style="1" bestFit="1" customWidth="1"/>
    <col min="5" max="5" width="9.5703125" style="5" bestFit="1" customWidth="1"/>
    <col min="6" max="6" width="7" style="1" customWidth="1"/>
    <col min="7" max="7" width="3.85546875" style="1" customWidth="1"/>
    <col min="8" max="8" width="53.5703125" style="15" bestFit="1" customWidth="1"/>
    <col min="9" max="9" width="23.85546875" style="1" bestFit="1" customWidth="1"/>
    <col min="10" max="10" width="13.5703125" style="17" customWidth="1"/>
    <col min="11" max="11" width="8.42578125" style="18" bestFit="1" customWidth="1"/>
    <col min="12" max="12" width="20.85546875" style="6" bestFit="1" customWidth="1"/>
    <col min="13" max="13" width="3.85546875" style="1" customWidth="1"/>
    <col min="14" max="14" width="52" style="2" bestFit="1" customWidth="1"/>
    <col min="15" max="15" width="24.42578125" style="1" bestFit="1" customWidth="1"/>
    <col min="16" max="16" width="11" style="16" bestFit="1" customWidth="1"/>
    <col min="17" max="17" width="4.5703125" style="1" customWidth="1"/>
    <col min="18" max="16384" width="9.140625" style="1"/>
  </cols>
  <sheetData>
    <row r="1" spans="1:17" x14ac:dyDescent="0.3">
      <c r="C1" s="24" t="s">
        <v>157</v>
      </c>
      <c r="E1" s="1"/>
    </row>
    <row r="2" spans="1:17" x14ac:dyDescent="0.3">
      <c r="C2" s="25" t="s">
        <v>158</v>
      </c>
      <c r="E2" s="1"/>
    </row>
    <row r="3" spans="1:17" x14ac:dyDescent="0.3">
      <c r="C3" s="28" t="s">
        <v>159</v>
      </c>
      <c r="D3" s="29"/>
      <c r="E3" s="29"/>
      <c r="F3" s="29"/>
      <c r="G3" s="29"/>
      <c r="H3" s="30"/>
      <c r="I3" s="29"/>
    </row>
    <row r="4" spans="1:17" x14ac:dyDescent="0.3">
      <c r="A4" s="11"/>
      <c r="B4" s="9"/>
      <c r="C4" s="10"/>
      <c r="D4" s="11"/>
      <c r="E4" s="13"/>
      <c r="F4" s="11"/>
      <c r="G4" s="11"/>
      <c r="H4" s="10"/>
      <c r="I4" s="11"/>
      <c r="J4" s="31"/>
      <c r="K4" s="32"/>
      <c r="L4" s="10"/>
      <c r="M4" s="11"/>
      <c r="N4" s="9"/>
      <c r="O4" s="11"/>
      <c r="P4" s="33"/>
      <c r="Q4" s="11"/>
    </row>
    <row r="5" spans="1:17" ht="15.75" customHeight="1" x14ac:dyDescent="0.3">
      <c r="A5" s="11"/>
      <c r="B5" s="9"/>
      <c r="C5" s="10"/>
      <c r="D5" s="11"/>
      <c r="E5" s="13"/>
      <c r="F5" s="11"/>
      <c r="G5" s="11"/>
      <c r="H5" s="34" t="s">
        <v>45</v>
      </c>
      <c r="I5" s="34"/>
      <c r="J5" s="34"/>
      <c r="K5" s="34"/>
      <c r="L5" s="10"/>
      <c r="M5" s="11"/>
      <c r="N5" s="34" t="s">
        <v>124</v>
      </c>
      <c r="O5" s="34"/>
      <c r="P5" s="34"/>
      <c r="Q5" s="11"/>
    </row>
    <row r="6" spans="1:17" ht="15.75" customHeight="1" x14ac:dyDescent="0.3">
      <c r="A6" s="11"/>
      <c r="B6" s="22" t="s">
        <v>51</v>
      </c>
      <c r="C6" s="8" t="s">
        <v>48</v>
      </c>
      <c r="D6" s="7" t="s">
        <v>49</v>
      </c>
      <c r="E6" s="14">
        <v>60</v>
      </c>
      <c r="F6" s="3" t="s">
        <v>14</v>
      </c>
      <c r="G6" s="11"/>
      <c r="H6" s="34"/>
      <c r="I6" s="34"/>
      <c r="J6" s="34"/>
      <c r="K6" s="34"/>
      <c r="L6" s="10"/>
      <c r="M6" s="11"/>
      <c r="N6" s="34"/>
      <c r="O6" s="34"/>
      <c r="P6" s="34"/>
      <c r="Q6" s="11"/>
    </row>
    <row r="7" spans="1:17" ht="15.75" customHeight="1" x14ac:dyDescent="0.3">
      <c r="A7" s="11"/>
      <c r="B7" s="22"/>
      <c r="C7" s="8" t="s">
        <v>50</v>
      </c>
      <c r="D7" s="7"/>
      <c r="E7" s="14">
        <v>1.5</v>
      </c>
      <c r="F7" s="3"/>
      <c r="G7" s="11"/>
      <c r="H7" s="35" t="s">
        <v>85</v>
      </c>
      <c r="I7" s="35"/>
      <c r="J7" s="35"/>
      <c r="K7" s="57" t="s">
        <v>100</v>
      </c>
      <c r="L7" s="10"/>
      <c r="M7" s="11"/>
      <c r="N7" s="35" t="s">
        <v>85</v>
      </c>
      <c r="O7" s="35"/>
      <c r="P7" s="35"/>
      <c r="Q7" s="11"/>
    </row>
    <row r="8" spans="1:17" x14ac:dyDescent="0.3">
      <c r="A8" s="11"/>
      <c r="B8" s="22"/>
      <c r="C8" s="8" t="s">
        <v>27</v>
      </c>
      <c r="D8" s="7" t="s">
        <v>16</v>
      </c>
      <c r="E8" s="14">
        <v>2400</v>
      </c>
      <c r="F8" s="3" t="s">
        <v>17</v>
      </c>
      <c r="G8" s="11"/>
      <c r="H8" s="46"/>
      <c r="I8" s="37" t="s">
        <v>64</v>
      </c>
      <c r="J8" s="38">
        <f>-1/(2*PI()*E8*1000000*(E17+E18+E14)*0.000000000000001)</f>
        <v>-80.38128438984613</v>
      </c>
      <c r="K8" s="58"/>
      <c r="L8" s="10"/>
      <c r="M8" s="11"/>
      <c r="N8" s="36"/>
      <c r="O8" s="37" t="s">
        <v>64</v>
      </c>
      <c r="P8" s="38">
        <f>-1/(2*PI()*E8*1000000*(E17+E18+E14)*0.000000000000001)</f>
        <v>-80.38128438984613</v>
      </c>
      <c r="Q8" s="11"/>
    </row>
    <row r="9" spans="1:17" x14ac:dyDescent="0.3">
      <c r="A9" s="11"/>
      <c r="B9" s="22" t="s">
        <v>23</v>
      </c>
      <c r="C9" s="8" t="s">
        <v>29</v>
      </c>
      <c r="D9" s="7" t="s">
        <v>0</v>
      </c>
      <c r="E9" s="14">
        <v>5</v>
      </c>
      <c r="F9" s="3" t="s">
        <v>11</v>
      </c>
      <c r="G9" s="11"/>
      <c r="H9" s="46"/>
      <c r="I9" s="37" t="s">
        <v>46</v>
      </c>
      <c r="J9" s="38">
        <f>1/(1/E16+1/E19)</f>
        <v>131.45082765335931</v>
      </c>
      <c r="K9" s="58"/>
      <c r="L9" s="10"/>
      <c r="M9" s="11"/>
      <c r="N9" s="36"/>
      <c r="O9" s="37" t="s">
        <v>46</v>
      </c>
      <c r="P9" s="38">
        <f>1/(1/E16+1/E19)</f>
        <v>131.45082765335931</v>
      </c>
      <c r="Q9" s="11"/>
    </row>
    <row r="10" spans="1:17" ht="16.5" thickBot="1" x14ac:dyDescent="0.35">
      <c r="A10" s="11"/>
      <c r="B10" s="22"/>
      <c r="C10" s="8" t="s">
        <v>30</v>
      </c>
      <c r="D10" s="7" t="s">
        <v>1</v>
      </c>
      <c r="E10" s="14">
        <v>3.5</v>
      </c>
      <c r="F10" s="3" t="s">
        <v>11</v>
      </c>
      <c r="G10" s="11"/>
      <c r="H10" s="46"/>
      <c r="I10" s="20" t="s">
        <v>56</v>
      </c>
      <c r="J10" s="21">
        <f ca="1">J26</f>
        <v>118.27914781719304</v>
      </c>
      <c r="K10" s="58"/>
      <c r="L10" s="10"/>
      <c r="M10" s="11"/>
      <c r="N10" s="36"/>
      <c r="O10" s="39" t="s">
        <v>125</v>
      </c>
      <c r="P10" s="40">
        <f>ABS(P9/P8)</f>
        <v>1.635341219677803</v>
      </c>
      <c r="Q10" s="11"/>
    </row>
    <row r="11" spans="1:17" ht="17.25" thickTop="1" thickBot="1" x14ac:dyDescent="0.35">
      <c r="A11" s="11"/>
      <c r="B11" s="22"/>
      <c r="C11" s="8" t="s">
        <v>31</v>
      </c>
      <c r="D11" s="7" t="s">
        <v>2</v>
      </c>
      <c r="E11" s="14">
        <v>12</v>
      </c>
      <c r="F11" s="3"/>
      <c r="G11" s="11"/>
      <c r="H11" s="46" t="s">
        <v>161</v>
      </c>
      <c r="I11" s="20" t="s">
        <v>57</v>
      </c>
      <c r="J11" s="21">
        <f ca="1">J30</f>
        <v>1588.7333640171753</v>
      </c>
      <c r="K11" s="58"/>
      <c r="L11" s="10"/>
      <c r="M11" s="11"/>
      <c r="N11" s="36"/>
      <c r="O11" s="37" t="s">
        <v>126</v>
      </c>
      <c r="P11" s="41">
        <f>P9/(1+P10^2)+E21</f>
        <v>42.058534154764821</v>
      </c>
      <c r="Q11" s="11"/>
    </row>
    <row r="12" spans="1:17" ht="16.5" thickTop="1" x14ac:dyDescent="0.3">
      <c r="A12" s="11"/>
      <c r="B12" s="22"/>
      <c r="C12" s="8" t="s">
        <v>32</v>
      </c>
      <c r="D12" s="7" t="s">
        <v>3</v>
      </c>
      <c r="E12" s="14">
        <v>12</v>
      </c>
      <c r="F12" s="3"/>
      <c r="G12" s="11"/>
      <c r="H12" s="46"/>
      <c r="I12" s="37" t="s">
        <v>55</v>
      </c>
      <c r="J12" s="38">
        <f>2*PI()*E8*1000000*E9*0.000000001</f>
        <v>75.398223686155035</v>
      </c>
      <c r="K12" s="58"/>
      <c r="L12" s="10"/>
      <c r="M12" s="11"/>
      <c r="N12" s="36"/>
      <c r="O12" s="37" t="s">
        <v>128</v>
      </c>
      <c r="P12" s="41">
        <f>P8/(1+1/P10^2)</f>
        <v>-58.50490261880892</v>
      </c>
      <c r="Q12" s="11"/>
    </row>
    <row r="13" spans="1:17" x14ac:dyDescent="0.3">
      <c r="A13" s="11"/>
      <c r="B13" s="22"/>
      <c r="C13" s="8" t="s">
        <v>28</v>
      </c>
      <c r="D13" s="7" t="s">
        <v>4</v>
      </c>
      <c r="E13" s="14">
        <v>0.75</v>
      </c>
      <c r="F13" s="3"/>
      <c r="G13" s="11"/>
      <c r="H13" s="46" t="s">
        <v>78</v>
      </c>
      <c r="I13" s="37" t="s">
        <v>58</v>
      </c>
      <c r="J13" s="38">
        <f ca="1">(J12*J11)/(J12+J11)</f>
        <v>71.982092307462082</v>
      </c>
      <c r="K13" s="58"/>
      <c r="L13" s="10"/>
      <c r="M13" s="11"/>
      <c r="N13" s="36"/>
      <c r="O13" s="39" t="s">
        <v>127</v>
      </c>
      <c r="P13" s="40">
        <f>ABS(P12/P11)</f>
        <v>1.3910352273221316</v>
      </c>
      <c r="Q13" s="11"/>
    </row>
    <row r="14" spans="1:17" x14ac:dyDescent="0.3">
      <c r="A14" s="11"/>
      <c r="B14" s="22"/>
      <c r="C14" s="8" t="s">
        <v>33</v>
      </c>
      <c r="D14" s="7" t="s">
        <v>7</v>
      </c>
      <c r="E14" s="14">
        <v>50</v>
      </c>
      <c r="F14" s="3" t="s">
        <v>12</v>
      </c>
      <c r="G14" s="11"/>
      <c r="H14" s="46"/>
      <c r="I14" s="39" t="s">
        <v>59</v>
      </c>
      <c r="J14" s="40">
        <f ca="1">J10/J13</f>
        <v>1.6431746289338067</v>
      </c>
      <c r="K14" s="58"/>
      <c r="L14" s="10"/>
      <c r="M14" s="11"/>
      <c r="N14" s="36"/>
      <c r="O14" s="37" t="s">
        <v>129</v>
      </c>
      <c r="P14" s="41">
        <f>P11*(1+P13^2)</f>
        <v>123.44091466857886</v>
      </c>
      <c r="Q14" s="11"/>
    </row>
    <row r="15" spans="1:17" x14ac:dyDescent="0.3">
      <c r="A15" s="11"/>
      <c r="B15" s="22"/>
      <c r="C15" s="8" t="s">
        <v>34</v>
      </c>
      <c r="D15" s="7" t="s">
        <v>8</v>
      </c>
      <c r="E15" s="14">
        <v>50</v>
      </c>
      <c r="F15" s="3" t="s">
        <v>12</v>
      </c>
      <c r="G15" s="11"/>
      <c r="H15" s="46"/>
      <c r="I15" s="37" t="s">
        <v>103</v>
      </c>
      <c r="J15" s="38">
        <f ca="1">J10/(1+J14^2)</f>
        <v>31.967139732681389</v>
      </c>
      <c r="K15" s="58"/>
      <c r="L15" s="10"/>
      <c r="M15" s="11"/>
      <c r="N15" s="36"/>
      <c r="O15" s="37" t="s">
        <v>130</v>
      </c>
      <c r="P15" s="41">
        <f>P12*(1+1/P13^2)</f>
        <v>-88.740322490763774</v>
      </c>
      <c r="Q15" s="11"/>
    </row>
    <row r="16" spans="1:17" x14ac:dyDescent="0.3">
      <c r="A16" s="11"/>
      <c r="B16" s="23" t="s">
        <v>24</v>
      </c>
      <c r="C16" s="8" t="s">
        <v>35</v>
      </c>
      <c r="D16" s="7" t="s">
        <v>5</v>
      </c>
      <c r="E16" s="14">
        <v>5000</v>
      </c>
      <c r="F16" s="3" t="s">
        <v>13</v>
      </c>
      <c r="G16" s="11"/>
      <c r="H16" s="46"/>
      <c r="I16" s="37" t="s">
        <v>102</v>
      </c>
      <c r="J16" s="38">
        <f ca="1">J15+E21</f>
        <v>38.250325039860975</v>
      </c>
      <c r="K16" s="59">
        <f ca="1">10*LOG(J15/(E21+J15))</f>
        <v>-0.77931350600888027</v>
      </c>
      <c r="L16" s="10" t="s">
        <v>101</v>
      </c>
      <c r="M16" s="11"/>
      <c r="N16" s="36"/>
      <c r="O16" s="37" t="s">
        <v>55</v>
      </c>
      <c r="P16" s="41">
        <f>2*PI()*E8*1000000*E9*0.000000001</f>
        <v>75.398223686155035</v>
      </c>
      <c r="Q16" s="11"/>
    </row>
    <row r="17" spans="1:17" x14ac:dyDescent="0.3">
      <c r="A17" s="11"/>
      <c r="B17" s="23"/>
      <c r="C17" s="8" t="s">
        <v>36</v>
      </c>
      <c r="D17" s="7" t="s">
        <v>6</v>
      </c>
      <c r="E17" s="14">
        <v>100</v>
      </c>
      <c r="F17" s="3" t="s">
        <v>12</v>
      </c>
      <c r="G17" s="11"/>
      <c r="H17" s="46"/>
      <c r="I17" s="37" t="s">
        <v>60</v>
      </c>
      <c r="J17" s="38">
        <f ca="1">J13/(1+1/J14^2)</f>
        <v>52.527592968323887</v>
      </c>
      <c r="K17" s="58"/>
      <c r="L17" s="10"/>
      <c r="M17" s="11"/>
      <c r="N17" s="36"/>
      <c r="O17" s="37" t="s">
        <v>131</v>
      </c>
      <c r="P17" s="38">
        <f>(P16*P15)/(P16+P15)</f>
        <v>501.4850199452074</v>
      </c>
      <c r="Q17" s="11"/>
    </row>
    <row r="18" spans="1:17" ht="20.25" customHeight="1" x14ac:dyDescent="0.3">
      <c r="A18" s="11"/>
      <c r="B18" s="52" t="s">
        <v>37</v>
      </c>
      <c r="C18" s="8" t="s">
        <v>38</v>
      </c>
      <c r="D18" s="7" t="s">
        <v>9</v>
      </c>
      <c r="E18" s="14">
        <v>675</v>
      </c>
      <c r="F18" s="3" t="s">
        <v>12</v>
      </c>
      <c r="G18" s="11"/>
      <c r="H18" s="46"/>
      <c r="I18" s="39" t="s">
        <v>61</v>
      </c>
      <c r="J18" s="40">
        <f ca="1">J17/J16</f>
        <v>1.3732587347580565</v>
      </c>
      <c r="K18" s="58"/>
      <c r="L18" s="10"/>
      <c r="M18" s="11"/>
      <c r="N18" s="36"/>
      <c r="O18" s="37"/>
      <c r="P18" s="41"/>
      <c r="Q18" s="11"/>
    </row>
    <row r="19" spans="1:17" ht="20.25" customHeight="1" x14ac:dyDescent="0.3">
      <c r="A19" s="11"/>
      <c r="B19" s="53"/>
      <c r="C19" s="8" t="s">
        <v>39</v>
      </c>
      <c r="D19" s="54" t="s">
        <v>25</v>
      </c>
      <c r="E19" s="47">
        <v>135</v>
      </c>
      <c r="F19" s="48" t="s">
        <v>14</v>
      </c>
      <c r="G19" s="11"/>
      <c r="H19" s="60" t="s">
        <v>47</v>
      </c>
      <c r="I19" s="37" t="s">
        <v>62</v>
      </c>
      <c r="J19" s="38">
        <f ca="1">J16*(1+J18^2)</f>
        <v>110.38430089942763</v>
      </c>
      <c r="K19" s="58"/>
      <c r="L19" s="10"/>
      <c r="M19" s="11"/>
      <c r="N19" s="42" t="s">
        <v>134</v>
      </c>
      <c r="O19" s="43" t="s">
        <v>133</v>
      </c>
      <c r="P19" s="44">
        <f>P14</f>
        <v>123.44091466857886</v>
      </c>
      <c r="Q19" s="11"/>
    </row>
    <row r="20" spans="1:17" x14ac:dyDescent="0.3">
      <c r="A20" s="11"/>
      <c r="B20" s="50" t="s">
        <v>26</v>
      </c>
      <c r="C20" s="8" t="s">
        <v>40</v>
      </c>
      <c r="D20" s="55" t="s">
        <v>15</v>
      </c>
      <c r="E20" s="56">
        <f>E13^2*E10/E9</f>
        <v>0.39374999999999999</v>
      </c>
      <c r="F20" s="55"/>
      <c r="G20" s="11"/>
      <c r="H20" s="46"/>
      <c r="I20" s="37" t="s">
        <v>52</v>
      </c>
      <c r="J20" s="38">
        <f ca="1">J17*(1+1/J18^2)</f>
        <v>80.38128438984613</v>
      </c>
      <c r="K20" s="58"/>
      <c r="L20" s="10"/>
      <c r="M20" s="11"/>
      <c r="N20" s="42" t="s">
        <v>135</v>
      </c>
      <c r="O20" s="43" t="s">
        <v>132</v>
      </c>
      <c r="P20" s="44">
        <f>P17</f>
        <v>501.4850199452074</v>
      </c>
      <c r="Q20" s="11"/>
    </row>
    <row r="21" spans="1:17" x14ac:dyDescent="0.3">
      <c r="A21" s="11"/>
      <c r="B21" s="51"/>
      <c r="C21" s="8" t="s">
        <v>41</v>
      </c>
      <c r="D21" s="55" t="s">
        <v>18</v>
      </c>
      <c r="E21" s="56">
        <f>2*PI()*E8*1000000*E9*0.000000001/E11</f>
        <v>6.2831853071795862</v>
      </c>
      <c r="F21" s="55" t="s">
        <v>14</v>
      </c>
      <c r="G21" s="11"/>
      <c r="H21" s="61" t="s">
        <v>66</v>
      </c>
      <c r="I21" s="55" t="s">
        <v>65</v>
      </c>
      <c r="J21" s="62">
        <f ca="1">1/(1/J9+1/J19)</f>
        <v>60</v>
      </c>
      <c r="K21" s="59">
        <f ca="1">10*LOG(J9/(J19+J9))</f>
        <v>-2.6475606107507699</v>
      </c>
      <c r="L21" s="10" t="s">
        <v>104</v>
      </c>
      <c r="M21" s="11"/>
      <c r="N21" s="36"/>
      <c r="O21" s="37"/>
      <c r="P21" s="41"/>
      <c r="Q21" s="11"/>
    </row>
    <row r="22" spans="1:17" ht="15.75" customHeight="1" x14ac:dyDescent="0.3">
      <c r="A22" s="11"/>
      <c r="B22" s="51"/>
      <c r="C22" s="8" t="s">
        <v>42</v>
      </c>
      <c r="D22" s="55" t="s">
        <v>19</v>
      </c>
      <c r="E22" s="56">
        <f>2*PI()*E8*1000000*E10*0.000000001/E12</f>
        <v>4.3982297150257113</v>
      </c>
      <c r="F22" s="55" t="s">
        <v>14</v>
      </c>
      <c r="G22" s="11"/>
      <c r="H22" s="61" t="s">
        <v>67</v>
      </c>
      <c r="I22" s="55" t="s">
        <v>63</v>
      </c>
      <c r="J22" s="62">
        <f ca="1">(J20*J8)/(J20+J8+0.000001)</f>
        <v>-6461150880.1613207</v>
      </c>
      <c r="K22" s="58"/>
      <c r="L22" s="10"/>
      <c r="M22" s="11"/>
      <c r="N22" s="35" t="s">
        <v>84</v>
      </c>
      <c r="O22" s="35"/>
      <c r="P22" s="35"/>
      <c r="Q22" s="11"/>
    </row>
    <row r="23" spans="1:17" x14ac:dyDescent="0.3">
      <c r="A23" s="11"/>
      <c r="B23" s="51"/>
      <c r="C23" s="8" t="s">
        <v>43</v>
      </c>
      <c r="D23" s="55" t="s">
        <v>20</v>
      </c>
      <c r="E23" s="56">
        <f>(1-E13^2)*E10</f>
        <v>1.53125</v>
      </c>
      <c r="F23" s="55" t="s">
        <v>11</v>
      </c>
      <c r="G23" s="11"/>
      <c r="H23" s="63" t="s">
        <v>79</v>
      </c>
      <c r="I23" s="37" t="s">
        <v>68</v>
      </c>
      <c r="J23" s="38">
        <f>1/(1/E6-1/J9)</f>
        <v>110.38430089942763</v>
      </c>
      <c r="K23" s="58"/>
      <c r="L23" s="10"/>
      <c r="M23" s="11"/>
      <c r="N23" s="8" t="s">
        <v>136</v>
      </c>
      <c r="O23" s="37" t="s">
        <v>138</v>
      </c>
      <c r="P23" s="41">
        <f>P19*E20</f>
        <v>48.60486015075292</v>
      </c>
      <c r="Q23" s="11"/>
    </row>
    <row r="24" spans="1:17" x14ac:dyDescent="0.3">
      <c r="A24" s="11"/>
      <c r="B24" s="49"/>
      <c r="C24" s="8" t="s">
        <v>44</v>
      </c>
      <c r="D24" s="55" t="s">
        <v>21</v>
      </c>
      <c r="E24" s="56">
        <f>1000000000000/((2*PI()*E8*1000000)^2*E9*0.000000001)</f>
        <v>0.87952416356195995</v>
      </c>
      <c r="F24" s="55" t="s">
        <v>22</v>
      </c>
      <c r="G24" s="11"/>
      <c r="H24" s="63"/>
      <c r="I24" s="37" t="s">
        <v>69</v>
      </c>
      <c r="J24" s="38">
        <f ca="1">J23/(1+J18^2)</f>
        <v>38.250325039860975</v>
      </c>
      <c r="K24" s="58"/>
      <c r="L24" s="10"/>
      <c r="M24" s="11"/>
      <c r="N24" s="8" t="s">
        <v>137</v>
      </c>
      <c r="O24" s="37" t="s">
        <v>139</v>
      </c>
      <c r="P24" s="41">
        <f>P20*E20</f>
        <v>197.45972660342539</v>
      </c>
      <c r="Q24" s="11"/>
    </row>
    <row r="25" spans="1:17" x14ac:dyDescent="0.3">
      <c r="A25" s="11"/>
      <c r="B25" s="9"/>
      <c r="C25" s="10"/>
      <c r="D25" s="11"/>
      <c r="E25" s="13"/>
      <c r="F25" s="11"/>
      <c r="G25" s="11"/>
      <c r="H25" s="63"/>
      <c r="I25" s="37" t="s">
        <v>70</v>
      </c>
      <c r="J25" s="38">
        <f ca="1">(J24-E21)*(1+J14^2)</f>
        <v>118.27914781719304</v>
      </c>
      <c r="K25" s="58"/>
      <c r="L25" s="10"/>
      <c r="M25" s="11"/>
      <c r="N25" s="36"/>
      <c r="O25" s="39" t="s">
        <v>140</v>
      </c>
      <c r="P25" s="40">
        <f>ABS(P23/P24)</f>
        <v>0.24615075178529977</v>
      </c>
      <c r="Q25" s="11"/>
    </row>
    <row r="26" spans="1:17" ht="16.5" thickBot="1" x14ac:dyDescent="0.35">
      <c r="A26" s="11"/>
      <c r="B26" s="9"/>
      <c r="C26" s="10"/>
      <c r="D26" s="11"/>
      <c r="E26" s="13"/>
      <c r="F26" s="11"/>
      <c r="G26" s="11"/>
      <c r="H26" s="63"/>
      <c r="I26" s="20" t="s">
        <v>75</v>
      </c>
      <c r="J26" s="21">
        <f ca="1">J25</f>
        <v>118.27914781719304</v>
      </c>
      <c r="K26" s="58"/>
      <c r="L26" s="10"/>
      <c r="M26" s="11"/>
      <c r="N26" s="36"/>
      <c r="O26" s="37" t="s">
        <v>141</v>
      </c>
      <c r="P26" s="41">
        <f>P23/(1+P25^2)</f>
        <v>45.828125217144446</v>
      </c>
      <c r="Q26" s="11"/>
    </row>
    <row r="27" spans="1:17" ht="16.5" thickTop="1" x14ac:dyDescent="0.3">
      <c r="A27" s="11"/>
      <c r="B27" s="12"/>
      <c r="C27" s="10"/>
      <c r="D27" s="11"/>
      <c r="E27" s="13"/>
      <c r="F27" s="11"/>
      <c r="G27" s="11"/>
      <c r="H27" s="63"/>
      <c r="I27" s="37" t="s">
        <v>74</v>
      </c>
      <c r="J27" s="38">
        <f>-J8</f>
        <v>80.38128438984613</v>
      </c>
      <c r="K27" s="58"/>
      <c r="L27" s="10"/>
      <c r="M27" s="11"/>
      <c r="N27" s="36"/>
      <c r="O27" s="37" t="s">
        <v>142</v>
      </c>
      <c r="P27" s="41">
        <f>P24/(1+1/P25^2)</f>
        <v>11.280627475110959</v>
      </c>
      <c r="Q27" s="11"/>
    </row>
    <row r="28" spans="1:17" ht="19.5" x14ac:dyDescent="0.35">
      <c r="A28" s="11"/>
      <c r="B28" s="9"/>
      <c r="C28" s="45" t="s">
        <v>123</v>
      </c>
      <c r="D28" s="45"/>
      <c r="E28" s="45"/>
      <c r="F28" s="45"/>
      <c r="G28" s="11"/>
      <c r="H28" s="63"/>
      <c r="I28" s="37" t="s">
        <v>71</v>
      </c>
      <c r="J28" s="38">
        <f ca="1">J27/(1+1/J18^2)</f>
        <v>52.527592968323887</v>
      </c>
      <c r="K28" s="58"/>
      <c r="L28" s="10"/>
      <c r="M28" s="11"/>
      <c r="N28" s="36"/>
      <c r="O28" s="37" t="s">
        <v>146</v>
      </c>
      <c r="P28" s="41">
        <f>P26+E22</f>
        <v>50.22635493217016</v>
      </c>
      <c r="Q28" s="11"/>
    </row>
    <row r="29" spans="1:17" x14ac:dyDescent="0.3">
      <c r="A29" s="11"/>
      <c r="B29" s="9"/>
      <c r="C29" s="26" t="s">
        <v>116</v>
      </c>
      <c r="D29" s="26"/>
      <c r="E29" s="27">
        <f ca="1">J50</f>
        <v>49.731483318427529</v>
      </c>
      <c r="F29" s="26" t="s">
        <v>14</v>
      </c>
      <c r="G29" s="11"/>
      <c r="H29" s="63"/>
      <c r="I29" s="37" t="s">
        <v>72</v>
      </c>
      <c r="J29" s="38">
        <f ca="1">J28*(1+1/J14^2)</f>
        <v>71.982092307462082</v>
      </c>
      <c r="K29" s="58"/>
      <c r="L29" s="10"/>
      <c r="M29" s="11"/>
      <c r="N29" s="36"/>
      <c r="O29" s="39" t="s">
        <v>143</v>
      </c>
      <c r="P29" s="40">
        <f>ABS(P27/P28)</f>
        <v>0.22459578224112134</v>
      </c>
      <c r="Q29" s="11"/>
    </row>
    <row r="30" spans="1:17" ht="16.5" thickBot="1" x14ac:dyDescent="0.35">
      <c r="A30" s="11"/>
      <c r="B30" s="9"/>
      <c r="C30" s="4" t="s">
        <v>117</v>
      </c>
      <c r="D30" s="4"/>
      <c r="E30" s="19">
        <f ca="1">-1000000000000000/(2*PI()*E8*1000000*J51)</f>
        <v>586.98590112830539</v>
      </c>
      <c r="F30" s="4" t="s">
        <v>12</v>
      </c>
      <c r="G30" s="11"/>
      <c r="H30" s="63"/>
      <c r="I30" s="20" t="s">
        <v>73</v>
      </c>
      <c r="J30" s="21">
        <f ca="1">-1/(1/J12-1/J29)</f>
        <v>1588.7333640171753</v>
      </c>
      <c r="K30" s="58"/>
      <c r="L30" s="10"/>
      <c r="M30" s="11"/>
      <c r="N30" s="36"/>
      <c r="O30" s="37" t="s">
        <v>144</v>
      </c>
      <c r="P30" s="41">
        <f>P28*(1+P29^2)</f>
        <v>52.759936284113387</v>
      </c>
      <c r="Q30" s="11"/>
    </row>
    <row r="31" spans="1:17" ht="16.5" thickTop="1" x14ac:dyDescent="0.3">
      <c r="A31" s="11"/>
      <c r="B31" s="9"/>
      <c r="C31" s="69" t="s">
        <v>118</v>
      </c>
      <c r="D31" s="69"/>
      <c r="E31" s="70">
        <f>P50</f>
        <v>71.745956922448755</v>
      </c>
      <c r="F31" s="69" t="s">
        <v>14</v>
      </c>
      <c r="G31" s="11"/>
      <c r="H31" s="42" t="s">
        <v>76</v>
      </c>
      <c r="I31" s="43" t="s">
        <v>56</v>
      </c>
      <c r="J31" s="44">
        <f ca="1">J26</f>
        <v>118.27914781719304</v>
      </c>
      <c r="K31" s="58"/>
      <c r="L31" s="10"/>
      <c r="M31" s="11"/>
      <c r="N31" s="36"/>
      <c r="O31" s="37" t="s">
        <v>145</v>
      </c>
      <c r="P31" s="41">
        <f>P27*(1+1/P29^2)</f>
        <v>234.91062814114392</v>
      </c>
      <c r="Q31" s="11"/>
    </row>
    <row r="32" spans="1:17" x14ac:dyDescent="0.3">
      <c r="A32" s="11"/>
      <c r="B32" s="9"/>
      <c r="C32" s="69" t="s">
        <v>119</v>
      </c>
      <c r="D32" s="69"/>
      <c r="E32" s="70">
        <f>-1000000000000000/(2*PI()*E8*1000000*P51)</f>
        <v>589.16596522153384</v>
      </c>
      <c r="F32" s="69" t="s">
        <v>12</v>
      </c>
      <c r="G32" s="11"/>
      <c r="H32" s="42" t="s">
        <v>77</v>
      </c>
      <c r="I32" s="43" t="s">
        <v>57</v>
      </c>
      <c r="J32" s="44">
        <f ca="1">J30</f>
        <v>1588.7333640171753</v>
      </c>
      <c r="K32" s="58"/>
      <c r="L32" s="10"/>
      <c r="M32" s="11"/>
      <c r="N32" s="36"/>
      <c r="O32" s="37" t="s">
        <v>91</v>
      </c>
      <c r="P32" s="38">
        <f>-1/(2*PI()*E8*1000000*E15*0.000000000000001)</f>
        <v>-1326.2911924324612</v>
      </c>
      <c r="Q32" s="11"/>
    </row>
    <row r="33" spans="1:17" x14ac:dyDescent="0.3">
      <c r="A33" s="11"/>
      <c r="B33" s="9"/>
      <c r="C33" s="69" t="s">
        <v>120</v>
      </c>
      <c r="D33" s="69"/>
      <c r="E33" s="70">
        <f ca="1">(E30-E32)*100/E32</f>
        <v>-0.37002546343774639</v>
      </c>
      <c r="F33" s="69" t="s">
        <v>121</v>
      </c>
      <c r="G33" s="11"/>
      <c r="H33" s="35" t="s">
        <v>84</v>
      </c>
      <c r="I33" s="35"/>
      <c r="J33" s="35"/>
      <c r="K33" s="58"/>
      <c r="L33" s="10"/>
      <c r="M33" s="11"/>
      <c r="N33" s="36"/>
      <c r="O33" s="37" t="s">
        <v>147</v>
      </c>
      <c r="P33" s="38">
        <f>(P32*P31)/(P32+P31)</f>
        <v>285.47319542444495</v>
      </c>
      <c r="Q33" s="11"/>
    </row>
    <row r="34" spans="1:17" x14ac:dyDescent="0.3">
      <c r="A34" s="11"/>
      <c r="B34" s="9"/>
      <c r="C34" s="69" t="s">
        <v>122</v>
      </c>
      <c r="D34" s="69"/>
      <c r="E34" s="71">
        <f ca="1">E31/E29</f>
        <v>1.4426667401626441</v>
      </c>
      <c r="F34" s="69"/>
      <c r="G34" s="11"/>
      <c r="H34" s="60" t="s">
        <v>82</v>
      </c>
      <c r="I34" s="37" t="s">
        <v>80</v>
      </c>
      <c r="J34" s="38">
        <f ca="1">E20*J31</f>
        <v>46.572414453019753</v>
      </c>
      <c r="K34" s="58"/>
      <c r="L34" s="10"/>
      <c r="M34" s="11"/>
      <c r="N34" s="36"/>
      <c r="O34" s="37" t="s">
        <v>148</v>
      </c>
      <c r="P34" s="41">
        <f>ABS(P30/P33)</f>
        <v>0.18481572746495264</v>
      </c>
      <c r="Q34" s="11"/>
    </row>
    <row r="35" spans="1:17" x14ac:dyDescent="0.3">
      <c r="A35" s="11"/>
      <c r="B35" s="9"/>
      <c r="C35" s="69" t="s">
        <v>115</v>
      </c>
      <c r="D35" s="69"/>
      <c r="E35" s="71">
        <f ca="1">K52</f>
        <v>-3.8602057427525165</v>
      </c>
      <c r="F35" s="69" t="s">
        <v>106</v>
      </c>
      <c r="G35" s="11"/>
      <c r="H35" s="60" t="s">
        <v>83</v>
      </c>
      <c r="I35" s="37" t="s">
        <v>81</v>
      </c>
      <c r="J35" s="38">
        <f ca="1">E20*J32</f>
        <v>625.56376208176277</v>
      </c>
      <c r="K35" s="58"/>
      <c r="L35" s="10"/>
      <c r="M35" s="11"/>
      <c r="N35" s="36"/>
      <c r="O35" s="37" t="s">
        <v>149</v>
      </c>
      <c r="P35" s="41">
        <f>P30/(1+P34^2)</f>
        <v>51.017344346769953</v>
      </c>
      <c r="Q35" s="11"/>
    </row>
    <row r="36" spans="1:17" x14ac:dyDescent="0.3">
      <c r="A36" s="11"/>
      <c r="B36" s="9"/>
      <c r="C36" s="10"/>
      <c r="D36" s="11"/>
      <c r="E36" s="13"/>
      <c r="F36" s="11"/>
      <c r="G36" s="11"/>
      <c r="H36" s="46"/>
      <c r="I36" s="39" t="s">
        <v>86</v>
      </c>
      <c r="J36" s="40">
        <f ca="1">ABS(J34/J35)</f>
        <v>7.444870895020389E-2</v>
      </c>
      <c r="K36" s="58"/>
      <c r="L36" s="10"/>
      <c r="M36" s="11"/>
      <c r="N36" s="36"/>
      <c r="O36" s="37" t="s">
        <v>150</v>
      </c>
      <c r="P36" s="41">
        <f>P33/(1+1/P34^2)</f>
        <v>9.4288076087782766</v>
      </c>
      <c r="Q36" s="11"/>
    </row>
    <row r="37" spans="1:17" x14ac:dyDescent="0.3">
      <c r="A37" s="11"/>
      <c r="B37" s="9"/>
      <c r="C37" s="10"/>
      <c r="D37" s="11"/>
      <c r="E37" s="13"/>
      <c r="F37" s="11"/>
      <c r="G37" s="11"/>
      <c r="H37" s="46"/>
      <c r="I37" s="37" t="s">
        <v>53</v>
      </c>
      <c r="J37" s="38">
        <f ca="1">J34/(1+J36^2)</f>
        <v>46.315704553560487</v>
      </c>
      <c r="K37" s="58"/>
      <c r="L37" s="10"/>
      <c r="M37" s="11"/>
      <c r="N37" s="36"/>
      <c r="O37" s="37" t="s">
        <v>151</v>
      </c>
      <c r="P37" s="41">
        <f>P36+2*PI()*E8*1000000*E23*0.000000001</f>
        <v>32.51951361266326</v>
      </c>
      <c r="Q37" s="11"/>
    </row>
    <row r="38" spans="1:17" x14ac:dyDescent="0.3">
      <c r="A38" s="11"/>
      <c r="B38" s="9"/>
      <c r="C38" s="10"/>
      <c r="D38" s="11"/>
      <c r="E38" s="13"/>
      <c r="F38" s="11"/>
      <c r="G38" s="11"/>
      <c r="H38" s="46"/>
      <c r="I38" s="37" t="s">
        <v>54</v>
      </c>
      <c r="J38" s="38">
        <f ca="1">J35/(1+1/J36^2)</f>
        <v>3.448144408131657</v>
      </c>
      <c r="K38" s="58"/>
      <c r="L38" s="10"/>
      <c r="M38" s="11"/>
      <c r="N38" s="36"/>
      <c r="O38" s="37" t="s">
        <v>152</v>
      </c>
      <c r="P38" s="41">
        <f>P37/P35</f>
        <v>0.63742074443594909</v>
      </c>
      <c r="Q38" s="11"/>
    </row>
    <row r="39" spans="1:17" x14ac:dyDescent="0.3">
      <c r="A39" s="11"/>
      <c r="B39" s="9"/>
      <c r="C39" s="10"/>
      <c r="D39" s="11"/>
      <c r="E39" s="13"/>
      <c r="F39" s="11"/>
      <c r="G39" s="11"/>
      <c r="H39" s="46"/>
      <c r="I39" s="37" t="s">
        <v>87</v>
      </c>
      <c r="J39" s="38">
        <f ca="1">J37-E22</f>
        <v>41.917474838534773</v>
      </c>
      <c r="K39" s="59">
        <f ca="1">10*LOG(J39/(J39+E22))</f>
        <v>-0.43333162599286634</v>
      </c>
      <c r="L39" s="10" t="s">
        <v>105</v>
      </c>
      <c r="M39" s="11"/>
      <c r="N39" s="36"/>
      <c r="O39" s="37" t="s">
        <v>153</v>
      </c>
      <c r="P39" s="41">
        <f>P35*(1+P38^2)</f>
        <v>71.745956922448755</v>
      </c>
      <c r="Q39" s="11"/>
    </row>
    <row r="40" spans="1:17" x14ac:dyDescent="0.3">
      <c r="A40" s="11"/>
      <c r="B40" s="9"/>
      <c r="C40" s="10"/>
      <c r="D40" s="11"/>
      <c r="E40" s="13"/>
      <c r="F40" s="11"/>
      <c r="G40" s="11"/>
      <c r="H40" s="46"/>
      <c r="I40" s="39" t="s">
        <v>88</v>
      </c>
      <c r="J40" s="40">
        <f ca="1">ABS(J38/J39)</f>
        <v>8.2260308413468042E-2</v>
      </c>
      <c r="K40" s="58"/>
      <c r="L40" s="10"/>
      <c r="M40" s="11"/>
      <c r="N40" s="36"/>
      <c r="O40" s="37" t="s">
        <v>154</v>
      </c>
      <c r="P40" s="41">
        <f>P37*(1+1/P38^2)</f>
        <v>112.55667084687749</v>
      </c>
      <c r="Q40" s="11"/>
    </row>
    <row r="41" spans="1:17" x14ac:dyDescent="0.3">
      <c r="A41" s="11"/>
      <c r="B41" s="9"/>
      <c r="C41" s="10"/>
      <c r="D41" s="11"/>
      <c r="E41" s="13"/>
      <c r="F41" s="11"/>
      <c r="G41" s="11"/>
      <c r="H41" s="46"/>
      <c r="I41" s="37" t="s">
        <v>89</v>
      </c>
      <c r="J41" s="38">
        <f ca="1">J39*(1+J40^2)</f>
        <v>42.201120261001854</v>
      </c>
      <c r="K41" s="58"/>
      <c r="L41" s="10"/>
      <c r="M41" s="11"/>
      <c r="N41" s="36"/>
      <c r="O41" s="37"/>
      <c r="P41" s="41"/>
      <c r="Q41" s="11"/>
    </row>
    <row r="42" spans="1:17" x14ac:dyDescent="0.3">
      <c r="A42" s="11"/>
      <c r="B42" s="9"/>
      <c r="C42" s="10"/>
      <c r="D42" s="11"/>
      <c r="E42" s="13"/>
      <c r="F42" s="11"/>
      <c r="G42" s="11"/>
      <c r="H42" s="46"/>
      <c r="I42" s="37" t="s">
        <v>90</v>
      </c>
      <c r="J42" s="38">
        <f ca="1">J38*(1+1/J40^2)</f>
        <v>513.01923217798799</v>
      </c>
      <c r="K42" s="58"/>
      <c r="L42" s="10"/>
      <c r="M42" s="11"/>
      <c r="N42" s="36"/>
      <c r="O42" s="37"/>
      <c r="P42" s="41"/>
      <c r="Q42" s="11"/>
    </row>
    <row r="43" spans="1:17" x14ac:dyDescent="0.3">
      <c r="A43" s="11"/>
      <c r="B43" s="9"/>
      <c r="C43" s="10"/>
      <c r="D43" s="11"/>
      <c r="E43" s="13"/>
      <c r="F43" s="11"/>
      <c r="G43" s="11"/>
      <c r="H43" s="46"/>
      <c r="I43" s="37" t="s">
        <v>91</v>
      </c>
      <c r="J43" s="38">
        <f>-1/(2*PI()*E8*1000000*E15*0.000000000000001)</f>
        <v>-1326.2911924324612</v>
      </c>
      <c r="K43" s="58"/>
      <c r="L43" s="10"/>
      <c r="M43" s="11"/>
      <c r="N43" s="36"/>
      <c r="O43" s="37"/>
      <c r="P43" s="41"/>
      <c r="Q43" s="11"/>
    </row>
    <row r="44" spans="1:17" x14ac:dyDescent="0.3">
      <c r="A44" s="11"/>
      <c r="B44" s="9"/>
      <c r="C44" s="10"/>
      <c r="D44" s="11"/>
      <c r="E44" s="13"/>
      <c r="F44" s="11"/>
      <c r="G44" s="11"/>
      <c r="H44" s="46"/>
      <c r="I44" s="37" t="s">
        <v>92</v>
      </c>
      <c r="J44" s="38">
        <f ca="1">1/(1/J42-1/J43)</f>
        <v>369.92825141532882</v>
      </c>
      <c r="K44" s="58"/>
      <c r="L44" s="10"/>
      <c r="M44" s="11"/>
      <c r="N44" s="36"/>
      <c r="O44" s="37"/>
      <c r="P44" s="41"/>
      <c r="Q44" s="11"/>
    </row>
    <row r="45" spans="1:17" x14ac:dyDescent="0.3">
      <c r="A45" s="11"/>
      <c r="B45" s="9"/>
      <c r="C45" s="10"/>
      <c r="D45" s="11"/>
      <c r="E45" s="13"/>
      <c r="F45" s="11"/>
      <c r="G45" s="11"/>
      <c r="H45" s="46"/>
      <c r="I45" s="39" t="s">
        <v>93</v>
      </c>
      <c r="J45" s="40">
        <f ca="1">ABS(J41/J44)</f>
        <v>0.11407920346592149</v>
      </c>
      <c r="K45" s="58"/>
      <c r="L45" s="10"/>
      <c r="M45" s="11"/>
      <c r="N45" s="36"/>
      <c r="O45" s="37"/>
      <c r="P45" s="41"/>
      <c r="Q45" s="11"/>
    </row>
    <row r="46" spans="1:17" x14ac:dyDescent="0.3">
      <c r="A46" s="11"/>
      <c r="B46" s="9"/>
      <c r="C46" s="10"/>
      <c r="D46" s="11"/>
      <c r="E46" s="13"/>
      <c r="F46" s="11"/>
      <c r="G46" s="11"/>
      <c r="H46" s="46"/>
      <c r="I46" s="37" t="s">
        <v>94</v>
      </c>
      <c r="J46" s="38">
        <f ca="1">J41/(1+J45^2)</f>
        <v>41.658967760752134</v>
      </c>
      <c r="K46" s="58"/>
      <c r="L46" s="10"/>
      <c r="M46" s="11"/>
      <c r="N46" s="36"/>
      <c r="O46" s="37"/>
      <c r="P46" s="41"/>
      <c r="Q46" s="11"/>
    </row>
    <row r="47" spans="1:17" x14ac:dyDescent="0.3">
      <c r="A47" s="11"/>
      <c r="B47" s="9"/>
      <c r="C47" s="10"/>
      <c r="D47" s="11"/>
      <c r="E47" s="13"/>
      <c r="F47" s="11"/>
      <c r="G47" s="11"/>
      <c r="H47" s="46"/>
      <c r="I47" s="37" t="s">
        <v>95</v>
      </c>
      <c r="J47" s="38">
        <f ca="1">J44/(1+1/J45^2)</f>
        <v>4.7524218593591065</v>
      </c>
      <c r="K47" s="58"/>
      <c r="L47" s="10"/>
      <c r="M47" s="11"/>
      <c r="N47" s="36"/>
      <c r="O47" s="37"/>
      <c r="P47" s="41"/>
      <c r="Q47" s="11"/>
    </row>
    <row r="48" spans="1:17" x14ac:dyDescent="0.3">
      <c r="A48" s="11"/>
      <c r="B48" s="9"/>
      <c r="C48" s="10"/>
      <c r="D48" s="11"/>
      <c r="E48" s="13"/>
      <c r="F48" s="11"/>
      <c r="G48" s="11"/>
      <c r="H48" s="46"/>
      <c r="I48" s="37" t="s">
        <v>160</v>
      </c>
      <c r="J48" s="38">
        <f ca="1">J47-(2*PI()*E8*1000000*E23*0.000000001)</f>
        <v>-18.338284144525876</v>
      </c>
      <c r="K48" s="58"/>
      <c r="L48" s="10"/>
      <c r="M48" s="11"/>
      <c r="N48" s="36"/>
      <c r="O48" s="37"/>
      <c r="P48" s="41"/>
      <c r="Q48" s="11"/>
    </row>
    <row r="49" spans="1:17" x14ac:dyDescent="0.3">
      <c r="A49" s="11"/>
      <c r="B49" s="9"/>
      <c r="C49" s="10"/>
      <c r="D49" s="11"/>
      <c r="E49" s="13"/>
      <c r="F49" s="11"/>
      <c r="G49" s="11"/>
      <c r="H49" s="46"/>
      <c r="I49" s="39" t="s">
        <v>96</v>
      </c>
      <c r="J49" s="40">
        <f ca="1">ABS(J48/J46)</f>
        <v>0.44020015689881764</v>
      </c>
      <c r="K49" s="58"/>
      <c r="L49" s="10"/>
      <c r="M49" s="11"/>
      <c r="N49" s="36"/>
      <c r="O49" s="37"/>
      <c r="P49" s="41"/>
      <c r="Q49" s="11"/>
    </row>
    <row r="50" spans="1:17" x14ac:dyDescent="0.3">
      <c r="A50" s="11"/>
      <c r="B50" s="9"/>
      <c r="C50" s="10"/>
      <c r="D50" s="11"/>
      <c r="E50" s="13"/>
      <c r="F50" s="11"/>
      <c r="G50" s="11"/>
      <c r="H50" s="42" t="s">
        <v>98</v>
      </c>
      <c r="I50" s="43" t="s">
        <v>10</v>
      </c>
      <c r="J50" s="44">
        <f ca="1">J46*(1+J49^2)</f>
        <v>49.731483318427529</v>
      </c>
      <c r="K50" s="58"/>
      <c r="L50" s="10"/>
      <c r="M50" s="11"/>
      <c r="N50" s="42" t="s">
        <v>156</v>
      </c>
      <c r="O50" s="43" t="s">
        <v>10</v>
      </c>
      <c r="P50" s="44">
        <f>P39</f>
        <v>71.745956922448755</v>
      </c>
      <c r="Q50" s="11"/>
    </row>
    <row r="51" spans="1:17" x14ac:dyDescent="0.3">
      <c r="A51" s="11"/>
      <c r="B51" s="9"/>
      <c r="C51" s="10"/>
      <c r="D51" s="11"/>
      <c r="E51" s="13"/>
      <c r="F51" s="11"/>
      <c r="G51" s="11"/>
      <c r="H51" s="42" t="s">
        <v>99</v>
      </c>
      <c r="I51" s="43" t="s">
        <v>97</v>
      </c>
      <c r="J51" s="44">
        <f ca="1">J48*(1+1/J49^2)</f>
        <v>-112.97470602641918</v>
      </c>
      <c r="K51" s="58"/>
      <c r="L51" s="10"/>
      <c r="M51" s="11"/>
      <c r="N51" s="42" t="s">
        <v>155</v>
      </c>
      <c r="O51" s="43" t="s">
        <v>97</v>
      </c>
      <c r="P51" s="44">
        <f>-P40</f>
        <v>-112.55667084687749</v>
      </c>
      <c r="Q51" s="11"/>
    </row>
    <row r="52" spans="1:17" x14ac:dyDescent="0.3">
      <c r="A52" s="11"/>
      <c r="B52" s="9"/>
      <c r="C52" s="10"/>
      <c r="D52" s="11"/>
      <c r="E52" s="13"/>
      <c r="F52" s="11"/>
      <c r="G52" s="11"/>
      <c r="H52" s="64" t="s">
        <v>108</v>
      </c>
      <c r="I52" s="64"/>
      <c r="J52" s="64"/>
      <c r="K52" s="59">
        <f ca="1">SUM(K8:K51)</f>
        <v>-3.8602057427525165</v>
      </c>
      <c r="L52" s="10"/>
      <c r="M52" s="11"/>
      <c r="N52" s="36"/>
      <c r="O52" s="37"/>
      <c r="P52" s="41"/>
      <c r="Q52" s="11"/>
    </row>
    <row r="53" spans="1:17" x14ac:dyDescent="0.3">
      <c r="A53" s="11"/>
      <c r="B53" s="9"/>
      <c r="C53" s="10"/>
      <c r="D53" s="11"/>
      <c r="E53" s="13"/>
      <c r="F53" s="11"/>
      <c r="G53" s="11"/>
      <c r="H53" s="46"/>
      <c r="I53" s="37"/>
      <c r="J53" s="38"/>
      <c r="K53" s="58"/>
      <c r="L53" s="10"/>
      <c r="M53" s="11"/>
      <c r="N53" s="36"/>
      <c r="O53" s="37"/>
      <c r="P53" s="41"/>
      <c r="Q53" s="11"/>
    </row>
    <row r="54" spans="1:17" x14ac:dyDescent="0.3">
      <c r="A54" s="11"/>
      <c r="B54" s="9"/>
      <c r="C54" s="10"/>
      <c r="D54" s="11"/>
      <c r="E54" s="13"/>
      <c r="F54" s="11"/>
      <c r="G54" s="11"/>
      <c r="H54" s="46"/>
      <c r="I54" s="37"/>
      <c r="J54" s="38"/>
      <c r="K54" s="58"/>
      <c r="L54" s="10"/>
      <c r="M54" s="11"/>
      <c r="N54" s="36"/>
      <c r="O54" s="37"/>
      <c r="P54" s="41"/>
      <c r="Q54" s="11"/>
    </row>
    <row r="55" spans="1:17" x14ac:dyDescent="0.3">
      <c r="A55" s="11"/>
      <c r="B55" s="9"/>
      <c r="C55" s="10"/>
      <c r="D55" s="11"/>
      <c r="E55" s="13"/>
      <c r="F55" s="11"/>
      <c r="G55" s="11"/>
      <c r="H55" s="65" t="s">
        <v>109</v>
      </c>
      <c r="I55" s="66">
        <f ca="1">J21/(1+(J21/J22)^2)</f>
        <v>60</v>
      </c>
      <c r="J55" s="67" t="s">
        <v>107</v>
      </c>
      <c r="K55" s="58"/>
      <c r="L55" s="10"/>
      <c r="M55" s="11"/>
      <c r="N55" s="36"/>
      <c r="O55" s="37"/>
      <c r="P55" s="41"/>
      <c r="Q55" s="11"/>
    </row>
    <row r="56" spans="1:17" x14ac:dyDescent="0.3">
      <c r="A56" s="11"/>
      <c r="B56" s="9"/>
      <c r="C56" s="10"/>
      <c r="D56" s="11"/>
      <c r="E56" s="13"/>
      <c r="F56" s="11"/>
      <c r="G56" s="11"/>
      <c r="H56" s="65" t="s">
        <v>110</v>
      </c>
      <c r="I56" s="68">
        <v>0.70699999999999996</v>
      </c>
      <c r="J56" s="67" t="s">
        <v>111</v>
      </c>
      <c r="K56" s="58"/>
      <c r="L56" s="10"/>
      <c r="M56" s="11"/>
      <c r="N56" s="36"/>
      <c r="O56" s="37"/>
      <c r="P56" s="41"/>
      <c r="Q56" s="11"/>
    </row>
    <row r="57" spans="1:17" x14ac:dyDescent="0.3">
      <c r="A57" s="11"/>
      <c r="B57" s="9"/>
      <c r="C57" s="10"/>
      <c r="D57" s="11"/>
      <c r="E57" s="13"/>
      <c r="F57" s="11"/>
      <c r="G57" s="11"/>
      <c r="H57" s="65" t="s">
        <v>112</v>
      </c>
      <c r="I57" s="66">
        <f ca="1">10*LOG10((I56*0.001)^2*I55*1000)</f>
        <v>-15.230099220225577</v>
      </c>
      <c r="J57" s="67" t="s">
        <v>113</v>
      </c>
      <c r="K57" s="58"/>
      <c r="L57" s="10"/>
      <c r="M57" s="11"/>
      <c r="N57" s="36"/>
      <c r="O57" s="37"/>
      <c r="P57" s="41"/>
      <c r="Q57" s="11"/>
    </row>
    <row r="58" spans="1:17" x14ac:dyDescent="0.3">
      <c r="A58" s="11"/>
      <c r="B58" s="9"/>
      <c r="C58" s="10"/>
      <c r="D58" s="11"/>
      <c r="E58" s="13"/>
      <c r="F58" s="11"/>
      <c r="G58" s="11"/>
      <c r="H58" s="65" t="s">
        <v>114</v>
      </c>
      <c r="I58" s="66">
        <f ca="1">I57+K52</f>
        <v>-19.090304962978095</v>
      </c>
      <c r="J58" s="67" t="s">
        <v>113</v>
      </c>
      <c r="K58" s="58"/>
      <c r="L58" s="10"/>
      <c r="M58" s="11"/>
      <c r="N58" s="36"/>
      <c r="O58" s="37"/>
      <c r="P58" s="41"/>
      <c r="Q58" s="11"/>
    </row>
    <row r="59" spans="1:17" x14ac:dyDescent="0.3">
      <c r="A59" s="11"/>
      <c r="B59" s="9"/>
      <c r="C59" s="10"/>
      <c r="D59" s="11"/>
      <c r="E59" s="13"/>
      <c r="F59" s="11"/>
      <c r="G59" s="11"/>
      <c r="H59" s="10"/>
      <c r="I59" s="11"/>
      <c r="J59" s="31"/>
      <c r="K59" s="32"/>
      <c r="L59" s="10"/>
      <c r="M59" s="11"/>
      <c r="N59" s="9"/>
      <c r="O59" s="11"/>
      <c r="P59" s="33"/>
      <c r="Q59" s="11"/>
    </row>
    <row r="60" spans="1:17" x14ac:dyDescent="0.3">
      <c r="A60" s="11"/>
      <c r="B60" s="9"/>
      <c r="C60" s="10"/>
      <c r="D60" s="11"/>
      <c r="E60" s="13"/>
      <c r="F60" s="11"/>
      <c r="G60" s="11"/>
      <c r="H60" s="10"/>
      <c r="I60" s="11"/>
      <c r="J60" s="31"/>
      <c r="K60" s="32"/>
      <c r="L60" s="10"/>
      <c r="M60" s="11"/>
      <c r="N60" s="9"/>
      <c r="O60" s="11"/>
      <c r="P60" s="33"/>
      <c r="Q60" s="11"/>
    </row>
  </sheetData>
  <mergeCells count="14">
    <mergeCell ref="B20:B24"/>
    <mergeCell ref="B9:B15"/>
    <mergeCell ref="B16:B17"/>
    <mergeCell ref="B6:B8"/>
    <mergeCell ref="B18:B19"/>
    <mergeCell ref="H52:J52"/>
    <mergeCell ref="C28:F28"/>
    <mergeCell ref="N7:P7"/>
    <mergeCell ref="N22:P22"/>
    <mergeCell ref="H23:H30"/>
    <mergeCell ref="H33:J33"/>
    <mergeCell ref="H7:J7"/>
    <mergeCell ref="H5:K6"/>
    <mergeCell ref="N5:P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2023-06-13T21:02:42Z</dcterms:created>
  <dcterms:modified xsi:type="dcterms:W3CDTF">2023-06-14T21:32:18Z</dcterms:modified>
</cp:coreProperties>
</file>